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emf" ContentType="image/x-e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mbeddings/oleObject1.bin" ContentType="application/vnd.openxmlformats-officedocument.oleObject"/>
  <Override PartName="/xl/embeddings/oleObject2.bin" ContentType="application/vnd.openxmlformats-officedocument.oleObject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480" yWindow="270" windowWidth="11550" windowHeight="5295"/>
  </bookViews>
  <sheets>
    <sheet name="Ejercicio" sheetId="1" r:id="rId1"/>
    <sheet name="Hoja1" sheetId="2" r:id="rId2"/>
  </sheets>
  <calcPr calcId="124519"/>
</workbook>
</file>

<file path=xl/calcChain.xml><?xml version="1.0" encoding="utf-8"?>
<calcChain xmlns="http://schemas.openxmlformats.org/spreadsheetml/2006/main">
  <c r="D67" i="1"/>
  <c r="E67" s="1"/>
  <c r="F67" s="1"/>
  <c r="G67" s="1"/>
  <c r="H67" s="1"/>
  <c r="D70"/>
  <c r="E70"/>
  <c r="F70"/>
  <c r="G70"/>
  <c r="H70"/>
  <c r="C70"/>
  <c r="D58"/>
  <c r="E58"/>
  <c r="F58"/>
  <c r="G58"/>
  <c r="H58"/>
  <c r="C58"/>
  <c r="C57"/>
  <c r="C28"/>
  <c r="C34" s="1"/>
  <c r="C41" s="1"/>
  <c r="C31"/>
  <c r="C33" s="1"/>
  <c r="F27" i="2"/>
  <c r="G27"/>
  <c r="E27"/>
  <c r="F26"/>
  <c r="G26"/>
  <c r="E26"/>
  <c r="D54" i="1"/>
  <c r="E54" s="1"/>
  <c r="F54" s="1"/>
  <c r="G54" s="1"/>
  <c r="H54" s="1"/>
  <c r="E19" i="2"/>
  <c r="F19"/>
  <c r="E18"/>
  <c r="E20"/>
  <c r="J17"/>
  <c r="J18"/>
  <c r="I17"/>
  <c r="I18"/>
  <c r="H17"/>
  <c r="H18" s="1"/>
  <c r="G17"/>
  <c r="G18" s="1"/>
  <c r="G20" s="1"/>
  <c r="F17"/>
  <c r="F18"/>
  <c r="F16"/>
  <c r="G16" s="1"/>
  <c r="H16" s="1"/>
  <c r="I16" s="1"/>
  <c r="J16" s="1"/>
  <c r="J12"/>
  <c r="I12"/>
  <c r="H12"/>
  <c r="G12"/>
  <c r="F12"/>
  <c r="E11"/>
  <c r="E12" s="1"/>
  <c r="E13" s="1"/>
  <c r="F13" s="1"/>
  <c r="G13" s="1"/>
  <c r="H13" s="1"/>
  <c r="I13" s="1"/>
  <c r="J13" s="1"/>
  <c r="E10"/>
  <c r="F10" s="1"/>
  <c r="G10" s="1"/>
  <c r="H10" s="1"/>
  <c r="I10" s="1"/>
  <c r="J10" s="1"/>
  <c r="J9"/>
  <c r="I9"/>
  <c r="H9"/>
  <c r="G9"/>
  <c r="F9"/>
  <c r="F8"/>
  <c r="G8" s="1"/>
  <c r="H8" s="1"/>
  <c r="I8" s="1"/>
  <c r="J8" s="1"/>
  <c r="C3" i="1"/>
  <c r="E3" i="2" s="1"/>
  <c r="E20" i="1"/>
  <c r="C39"/>
  <c r="E21"/>
  <c r="F46"/>
  <c r="D26"/>
  <c r="D31"/>
  <c r="E38"/>
  <c r="C51"/>
  <c r="F20" i="2"/>
  <c r="E22"/>
  <c r="G19"/>
  <c r="F21"/>
  <c r="E21"/>
  <c r="F22"/>
  <c r="H19"/>
  <c r="G21"/>
  <c r="I19"/>
  <c r="H21"/>
  <c r="J19"/>
  <c r="J21"/>
  <c r="I21"/>
  <c r="H38" i="1"/>
  <c r="G38"/>
  <c r="C38"/>
  <c r="D38"/>
  <c r="F38"/>
  <c r="D46"/>
  <c r="D39"/>
  <c r="G69"/>
  <c r="C46"/>
  <c r="H69"/>
  <c r="D69"/>
  <c r="E69"/>
  <c r="H46"/>
  <c r="F69"/>
  <c r="G46"/>
  <c r="E46"/>
  <c r="C69"/>
  <c r="C44"/>
  <c r="C45"/>
  <c r="F39"/>
  <c r="D33"/>
  <c r="G39"/>
  <c r="F57"/>
  <c r="H57"/>
  <c r="E26"/>
  <c r="C53"/>
  <c r="C59" s="1"/>
  <c r="C71" s="1"/>
  <c r="C37"/>
  <c r="E39"/>
  <c r="H39"/>
  <c r="E57"/>
  <c r="D28"/>
  <c r="D37" s="1"/>
  <c r="G57"/>
  <c r="D57"/>
  <c r="F59"/>
  <c r="F71" s="1"/>
  <c r="F72" s="1"/>
  <c r="E68"/>
  <c r="F68"/>
  <c r="H68"/>
  <c r="C47"/>
  <c r="C74" s="1"/>
  <c r="H55"/>
  <c r="E31"/>
  <c r="F26"/>
  <c r="E28"/>
  <c r="F55"/>
  <c r="D59"/>
  <c r="D71" s="1"/>
  <c r="D72" s="1"/>
  <c r="D55"/>
  <c r="D34"/>
  <c r="D41"/>
  <c r="D42" s="1"/>
  <c r="D56" s="1"/>
  <c r="D44"/>
  <c r="D45"/>
  <c r="D47" s="1"/>
  <c r="D74" s="1"/>
  <c r="D62"/>
  <c r="E33"/>
  <c r="E37"/>
  <c r="F28"/>
  <c r="F31"/>
  <c r="F37" s="1"/>
  <c r="G26"/>
  <c r="E34"/>
  <c r="E41"/>
  <c r="E76" s="1"/>
  <c r="E44"/>
  <c r="E45"/>
  <c r="E47" s="1"/>
  <c r="E74" s="1"/>
  <c r="E42"/>
  <c r="E56" s="1"/>
  <c r="F34"/>
  <c r="F41"/>
  <c r="F62" s="1"/>
  <c r="F44"/>
  <c r="F45"/>
  <c r="F47" s="1"/>
  <c r="F74" s="1"/>
  <c r="E62"/>
  <c r="F33"/>
  <c r="H26"/>
  <c r="G28"/>
  <c r="G44" s="1"/>
  <c r="G45" s="1"/>
  <c r="G47" s="1"/>
  <c r="G74" s="1"/>
  <c r="G31"/>
  <c r="F42"/>
  <c r="F56" s="1"/>
  <c r="H28"/>
  <c r="H31"/>
  <c r="H37" s="1"/>
  <c r="G33"/>
  <c r="F76"/>
  <c r="H34"/>
  <c r="H41"/>
  <c r="H76" s="1"/>
  <c r="H44"/>
  <c r="H45"/>
  <c r="H47" s="1"/>
  <c r="H74" s="1"/>
  <c r="H33"/>
  <c r="H42" s="1"/>
  <c r="H56" s="1"/>
  <c r="H62"/>
  <c r="F73" l="1"/>
  <c r="H60"/>
  <c r="C72"/>
  <c r="F75"/>
  <c r="F77" s="1"/>
  <c r="C55"/>
  <c r="G59"/>
  <c r="G71" s="1"/>
  <c r="G55"/>
  <c r="H59"/>
  <c r="H71" s="1"/>
  <c r="E55"/>
  <c r="E61" s="1"/>
  <c r="E63" s="1"/>
  <c r="E64" s="1"/>
  <c r="E59"/>
  <c r="E71" s="1"/>
  <c r="G68"/>
  <c r="D68"/>
  <c r="D73" s="1"/>
  <c r="D75" s="1"/>
  <c r="D77" s="1"/>
  <c r="D79" s="1"/>
  <c r="C68"/>
  <c r="C73" s="1"/>
  <c r="C75" s="1"/>
  <c r="E72"/>
  <c r="E73" s="1"/>
  <c r="E75" s="1"/>
  <c r="E77" s="1"/>
  <c r="H72"/>
  <c r="G72"/>
  <c r="F60"/>
  <c r="F61"/>
  <c r="F63" s="1"/>
  <c r="F64" s="1"/>
  <c r="D61"/>
  <c r="D63" s="1"/>
  <c r="D64" s="1"/>
  <c r="D60"/>
  <c r="E23" i="2"/>
  <c r="H23"/>
  <c r="G23"/>
  <c r="I23"/>
  <c r="J23"/>
  <c r="F23"/>
  <c r="H61" i="1"/>
  <c r="H63" s="1"/>
  <c r="H64" s="1"/>
  <c r="H73"/>
  <c r="H75" s="1"/>
  <c r="H77" s="1"/>
  <c r="C42"/>
  <c r="C56" s="1"/>
  <c r="C60" s="1"/>
  <c r="E60"/>
  <c r="G22" i="2"/>
  <c r="H20"/>
  <c r="C62" i="1"/>
  <c r="C76"/>
  <c r="G37"/>
  <c r="G34"/>
  <c r="G41" s="1"/>
  <c r="D76"/>
  <c r="G73" l="1"/>
  <c r="G75" s="1"/>
  <c r="H79"/>
  <c r="E79"/>
  <c r="F79"/>
  <c r="G76"/>
  <c r="G77" s="1"/>
  <c r="G62"/>
  <c r="H22" i="2"/>
  <c r="I20"/>
  <c r="C77" i="1"/>
  <c r="G42"/>
  <c r="G56" s="1"/>
  <c r="C61"/>
  <c r="C63" s="1"/>
  <c r="C64" s="1"/>
  <c r="G60" l="1"/>
  <c r="G61"/>
  <c r="G63" s="1"/>
  <c r="G64" s="1"/>
  <c r="G79" s="1"/>
  <c r="J20" i="2"/>
  <c r="J22" s="1"/>
  <c r="I22"/>
  <c r="C79" i="1"/>
</calcChain>
</file>

<file path=xl/sharedStrings.xml><?xml version="1.0" encoding="utf-8"?>
<sst xmlns="http://schemas.openxmlformats.org/spreadsheetml/2006/main" count="117" uniqueCount="88">
  <si>
    <t>CIELO ABIERTO + SUBTE</t>
  </si>
  <si>
    <t>VAN SUBTERRANEA</t>
  </si>
  <si>
    <t>Fundición y refinación</t>
  </si>
  <si>
    <t>Valor presente neto excavaciones subterráneas</t>
  </si>
  <si>
    <t>NPV</t>
  </si>
  <si>
    <t>factor NPV</t>
  </si>
  <si>
    <t>Costo op. Mineral</t>
  </si>
  <si>
    <t>Costos operación stripping</t>
  </si>
  <si>
    <t>Ingresos MUS$</t>
  </si>
  <si>
    <t>ton</t>
  </si>
  <si>
    <t>Toneladas Cu fino por año</t>
  </si>
  <si>
    <t>Recuperación metal</t>
  </si>
  <si>
    <t>US$/ton Cu fino</t>
  </si>
  <si>
    <t>Precio CuT</t>
  </si>
  <si>
    <t>US$/lb CuT</t>
  </si>
  <si>
    <t>Precio Cu</t>
  </si>
  <si>
    <t>Valor presente neto excavaciones a Cielo Abierto</t>
  </si>
  <si>
    <t xml:space="preserve">Años </t>
  </si>
  <si>
    <t>Stripping (Mton/año)</t>
  </si>
  <si>
    <t>Razon  E/M ultimo push back</t>
  </si>
  <si>
    <t>Razon  E/M medio</t>
  </si>
  <si>
    <t>Razon esteril mineral</t>
  </si>
  <si>
    <t>Esteril acum</t>
  </si>
  <si>
    <t>Area esteril</t>
  </si>
  <si>
    <t>Area min. Acum</t>
  </si>
  <si>
    <t>Area mineral</t>
  </si>
  <si>
    <t>Profundidad rajo</t>
  </si>
  <si>
    <t>r</t>
  </si>
  <si>
    <t>Tasa de descuento</t>
  </si>
  <si>
    <t>Mton/año</t>
  </si>
  <si>
    <t>tpd</t>
  </si>
  <si>
    <t>Producción subte</t>
  </si>
  <si>
    <t>Producción rajo</t>
  </si>
  <si>
    <t>MUS$</t>
  </si>
  <si>
    <t>Inversión subte</t>
  </si>
  <si>
    <t>Inversiones</t>
  </si>
  <si>
    <t>Costo Fund. Ref</t>
  </si>
  <si>
    <t>US$/ton mineral</t>
  </si>
  <si>
    <t>Costo Subterranea</t>
  </si>
  <si>
    <t>Costo mineral Open Pit</t>
  </si>
  <si>
    <t>US$/ton esteril</t>
  </si>
  <si>
    <t>Costo esteril</t>
  </si>
  <si>
    <t>Costos operacionales</t>
  </si>
  <si>
    <t>%</t>
  </si>
  <si>
    <t>Ley CuT</t>
  </si>
  <si>
    <t>m</t>
  </si>
  <si>
    <t>Profundidad</t>
  </si>
  <si>
    <t>Ancho</t>
  </si>
  <si>
    <t>Largo</t>
  </si>
  <si>
    <t>m2</t>
  </si>
  <si>
    <t>Total min</t>
  </si>
  <si>
    <t>Yacimiento</t>
  </si>
  <si>
    <t>Producción Mineral</t>
  </si>
  <si>
    <t>Esteril (Mton)</t>
  </si>
  <si>
    <t>Mineral (Mton)</t>
  </si>
  <si>
    <t>Inversión inicial cielo abierto</t>
  </si>
  <si>
    <t>DEFINICIÓN ECONOMICA DE TRANSICIÓN</t>
  </si>
  <si>
    <t>VALOR PRESENTE NETO</t>
  </si>
  <si>
    <t xml:space="preserve"> FLUJOS FIJOS</t>
  </si>
  <si>
    <t>H[m]</t>
  </si>
  <si>
    <t>[m2]</t>
  </si>
  <si>
    <t>[Mton]</t>
  </si>
  <si>
    <t>Area mineral extra</t>
  </si>
  <si>
    <t>Area mineral acum</t>
  </si>
  <si>
    <t>Area esteril acum</t>
  </si>
  <si>
    <t>Mineral Rajo</t>
  </si>
  <si>
    <t>Esteril Rajo</t>
  </si>
  <si>
    <t>Mineral Subterranea</t>
  </si>
  <si>
    <t>Producción anualMton]</t>
  </si>
  <si>
    <t>Vida Mina</t>
  </si>
  <si>
    <t>Beneficio Anual</t>
  </si>
  <si>
    <t>mineral</t>
  </si>
  <si>
    <t>esteril</t>
  </si>
  <si>
    <t>Costos Totales</t>
  </si>
  <si>
    <t>VAN RAJO [MU$]</t>
  </si>
  <si>
    <t>Ingresos Anual[ MUS$]</t>
  </si>
  <si>
    <t>Costos operación [MUS$]</t>
  </si>
  <si>
    <t>Costos totales anual[MUS$]</t>
  </si>
  <si>
    <t>Beneficio Anual [MUS$]</t>
  </si>
  <si>
    <t>Subterranea [m2]</t>
  </si>
  <si>
    <t>Reservas mineral [Mton]</t>
  </si>
  <si>
    <t>Producción anual [Mton]</t>
  </si>
  <si>
    <t>Factor NVP</t>
  </si>
  <si>
    <t>VAN</t>
  </si>
  <si>
    <t>Factor de actualización</t>
  </si>
  <si>
    <t>Costo Planta</t>
  </si>
  <si>
    <t>Costo Planta [MUS$]</t>
  </si>
  <si>
    <t>Fundición y refinación [MUS$]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</si>
</sst>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70" formatCode="0.0"/>
    <numFmt numFmtId="172" formatCode="_-* #,##0_-;\-* #,##0_-;_-* &quot;-&quot;??_-;_-@_-"/>
  </numFmts>
  <fonts count="6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20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64">
    <xf numFmtId="0" fontId="0" fillId="0" borderId="0" xfId="0"/>
    <xf numFmtId="1" fontId="0" fillId="0" borderId="1" xfId="0" applyNumberFormat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3" xfId="0" applyBorder="1"/>
    <xf numFmtId="0" fontId="3" fillId="0" borderId="3" xfId="0" applyFont="1" applyBorder="1"/>
    <xf numFmtId="2" fontId="0" fillId="0" borderId="4" xfId="0" applyNumberFormat="1" applyBorder="1" applyAlignment="1">
      <alignment horizontal="center"/>
    </xf>
    <xf numFmtId="2" fontId="0" fillId="0" borderId="0" xfId="0" applyNumberFormat="1" applyBorder="1" applyAlignment="1">
      <alignment horizontal="center"/>
    </xf>
    <xf numFmtId="0" fontId="0" fillId="0" borderId="5" xfId="0" applyBorder="1"/>
    <xf numFmtId="1" fontId="0" fillId="0" borderId="4" xfId="0" applyNumberFormat="1" applyBorder="1" applyAlignment="1">
      <alignment horizontal="center"/>
    </xf>
    <xf numFmtId="1" fontId="0" fillId="0" borderId="0" xfId="0" applyNumberFormat="1" applyBorder="1" applyAlignment="1">
      <alignment horizontal="center"/>
    </xf>
    <xf numFmtId="170" fontId="0" fillId="0" borderId="4" xfId="0" applyNumberFormat="1" applyBorder="1" applyAlignment="1">
      <alignment horizontal="center"/>
    </xf>
    <xf numFmtId="170" fontId="0" fillId="0" borderId="0" xfId="0" applyNumberFormat="1" applyBorder="1" applyAlignment="1">
      <alignment horizontal="center"/>
    </xf>
    <xf numFmtId="0" fontId="0" fillId="0" borderId="4" xfId="0" applyBorder="1"/>
    <xf numFmtId="0" fontId="0" fillId="0" borderId="0" xfId="0" applyBorder="1"/>
    <xf numFmtId="0" fontId="0" fillId="0" borderId="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6" xfId="0" applyBorder="1"/>
    <xf numFmtId="0" fontId="0" fillId="0" borderId="7" xfId="0" applyBorder="1"/>
    <xf numFmtId="0" fontId="3" fillId="0" borderId="8" xfId="0" applyFont="1" applyBorder="1"/>
    <xf numFmtId="1" fontId="0" fillId="0" borderId="9" xfId="0" applyNumberFormat="1" applyBorder="1" applyAlignment="1">
      <alignment horizontal="center"/>
    </xf>
    <xf numFmtId="1" fontId="0" fillId="0" borderId="10" xfId="0" applyNumberFormat="1" applyBorder="1" applyAlignment="1">
      <alignment horizontal="center"/>
    </xf>
    <xf numFmtId="0" fontId="0" fillId="0" borderId="11" xfId="0" applyBorder="1"/>
    <xf numFmtId="1" fontId="0" fillId="0" borderId="12" xfId="0" applyNumberFormat="1" applyBorder="1" applyAlignment="1">
      <alignment horizontal="center"/>
    </xf>
    <xf numFmtId="1" fontId="0" fillId="0" borderId="13" xfId="0" applyNumberFormat="1" applyBorder="1" applyAlignment="1">
      <alignment horizontal="center"/>
    </xf>
    <xf numFmtId="0" fontId="0" fillId="0" borderId="8" xfId="0" applyBorder="1"/>
    <xf numFmtId="0" fontId="0" fillId="0" borderId="9" xfId="0" applyBorder="1"/>
    <xf numFmtId="0" fontId="0" fillId="0" borderId="10" xfId="0" applyBorder="1"/>
    <xf numFmtId="9" fontId="0" fillId="0" borderId="0" xfId="0" applyNumberFormat="1" applyBorder="1"/>
    <xf numFmtId="170" fontId="0" fillId="0" borderId="7" xfId="0" applyNumberFormat="1" applyBorder="1"/>
    <xf numFmtId="0" fontId="3" fillId="0" borderId="0" xfId="0" applyFont="1"/>
    <xf numFmtId="170" fontId="0" fillId="0" borderId="9" xfId="0" applyNumberFormat="1" applyBorder="1" applyAlignment="1">
      <alignment horizontal="center"/>
    </xf>
    <xf numFmtId="170" fontId="0" fillId="0" borderId="10" xfId="0" applyNumberFormat="1" applyBorder="1" applyAlignment="1">
      <alignment horizontal="center"/>
    </xf>
    <xf numFmtId="0" fontId="0" fillId="0" borderId="14" xfId="0" applyBorder="1"/>
    <xf numFmtId="0" fontId="0" fillId="0" borderId="15" xfId="0" applyBorder="1"/>
    <xf numFmtId="0" fontId="0" fillId="0" borderId="16" xfId="0" applyBorder="1"/>
    <xf numFmtId="0" fontId="0" fillId="0" borderId="0" xfId="0" applyAlignment="1">
      <alignment horizontal="center"/>
    </xf>
    <xf numFmtId="0" fontId="3" fillId="0" borderId="15" xfId="0" applyFont="1" applyBorder="1"/>
    <xf numFmtId="0" fontId="3" fillId="0" borderId="1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0" fillId="0" borderId="17" xfId="0" applyBorder="1"/>
    <xf numFmtId="0" fontId="3" fillId="0" borderId="5" xfId="0" applyFont="1" applyBorder="1"/>
    <xf numFmtId="0" fontId="0" fillId="0" borderId="0" xfId="0" applyFill="1" applyBorder="1"/>
    <xf numFmtId="0" fontId="4" fillId="0" borderId="0" xfId="0" applyFont="1"/>
    <xf numFmtId="9" fontId="1" fillId="0" borderId="10" xfId="2" applyFont="1" applyBorder="1" applyAlignment="1">
      <alignment horizontal="center"/>
    </xf>
    <xf numFmtId="0" fontId="5" fillId="0" borderId="0" xfId="0" applyFont="1"/>
    <xf numFmtId="0" fontId="0" fillId="0" borderId="2" xfId="0" applyBorder="1"/>
    <xf numFmtId="0" fontId="2" fillId="0" borderId="0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0" fillId="0" borderId="17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0" xfId="0" applyFill="1" applyBorder="1" applyAlignment="1">
      <alignment horizontal="center"/>
    </xf>
    <xf numFmtId="1" fontId="0" fillId="0" borderId="0" xfId="0" applyNumberFormat="1" applyFill="1" applyBorder="1" applyAlignment="1">
      <alignment horizontal="center"/>
    </xf>
    <xf numFmtId="172" fontId="1" fillId="0" borderId="7" xfId="1" applyNumberFormat="1" applyFont="1" applyBorder="1" applyAlignment="1">
      <alignment horizontal="center"/>
    </xf>
    <xf numFmtId="172" fontId="1" fillId="0" borderId="6" xfId="1" applyNumberFormat="1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170" fontId="0" fillId="0" borderId="5" xfId="0" applyNumberFormat="1" applyBorder="1" applyAlignment="1">
      <alignment horizontal="center"/>
    </xf>
    <xf numFmtId="170" fontId="0" fillId="0" borderId="11" xfId="0" applyNumberFormat="1" applyBorder="1" applyAlignment="1">
      <alignment horizontal="center"/>
    </xf>
    <xf numFmtId="43" fontId="0" fillId="0" borderId="0" xfId="1" applyFont="1"/>
    <xf numFmtId="2" fontId="0" fillId="0" borderId="10" xfId="0" applyNumberFormat="1" applyBorder="1" applyAlignment="1">
      <alignment horizontal="center"/>
    </xf>
    <xf numFmtId="2" fontId="0" fillId="0" borderId="9" xfId="0" applyNumberFormat="1" applyBorder="1" applyAlignment="1">
      <alignment horizontal="center"/>
    </xf>
    <xf numFmtId="0" fontId="0" fillId="0" borderId="18" xfId="0" applyBorder="1"/>
  </cellXfs>
  <cellStyles count="3">
    <cellStyle name="Millares" xfId="1" builtinId="3"/>
    <cellStyle name="Normal" xfId="0" builtinId="0"/>
    <cellStyle name="Porcentual" xfId="2" builtinId="5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plotArea>
      <c:layout>
        <c:manualLayout>
          <c:layoutTarget val="inner"/>
          <c:xMode val="edge"/>
          <c:yMode val="edge"/>
          <c:x val="0.16069544998150398"/>
          <c:y val="8.3248661713895972E-2"/>
          <c:w val="0.50547340978350852"/>
          <c:h val="0.75597579963521533"/>
        </c:manualLayout>
      </c:layout>
      <c:scatterChart>
        <c:scatterStyle val="lineMarker"/>
        <c:ser>
          <c:idx val="1"/>
          <c:order val="0"/>
          <c:tx>
            <c:strRef>
              <c:f>Ejercicio!$B$64</c:f>
              <c:strCache>
                <c:ptCount val="1"/>
                <c:pt idx="0">
                  <c:v>VAN RAJO [MU$]</c:v>
                </c:pt>
              </c:strCache>
            </c:strRef>
          </c:tx>
          <c:xVal>
            <c:numRef>
              <c:f>Ejercicio!$C$26:$H$26</c:f>
              <c:numCache>
                <c:formatCode>General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</c:numCache>
            </c:numRef>
          </c:xVal>
          <c:yVal>
            <c:numRef>
              <c:f>Ejercicio!$C$64:$H$64</c:f>
              <c:numCache>
                <c:formatCode>0</c:formatCode>
                <c:ptCount val="6"/>
                <c:pt idx="0">
                  <c:v>6974.5824034483048</c:v>
                </c:pt>
                <c:pt idx="1">
                  <c:v>8808.9916457713425</c:v>
                </c:pt>
                <c:pt idx="2">
                  <c:v>10326.832131065572</c:v>
                </c:pt>
                <c:pt idx="3">
                  <c:v>11573.329616889308</c:v>
                </c:pt>
                <c:pt idx="4">
                  <c:v>12587.289553104762</c:v>
                </c:pt>
                <c:pt idx="5">
                  <c:v>13402.003583419375</c:v>
                </c:pt>
              </c:numCache>
            </c:numRef>
          </c:yVal>
        </c:ser>
        <c:ser>
          <c:idx val="2"/>
          <c:order val="1"/>
          <c:tx>
            <c:strRef>
              <c:f>Ejercicio!$B$77</c:f>
              <c:strCache>
                <c:ptCount val="1"/>
                <c:pt idx="0">
                  <c:v>VAN SUBTERRANEA</c:v>
                </c:pt>
              </c:strCache>
            </c:strRef>
          </c:tx>
          <c:xVal>
            <c:numRef>
              <c:f>Ejercicio!$C$26:$H$26</c:f>
              <c:numCache>
                <c:formatCode>General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</c:numCache>
            </c:numRef>
          </c:xVal>
          <c:yVal>
            <c:numRef>
              <c:f>Ejercicio!$C$77:$H$77</c:f>
              <c:numCache>
                <c:formatCode>0</c:formatCode>
                <c:ptCount val="6"/>
                <c:pt idx="0">
                  <c:v>9775.7510723715404</c:v>
                </c:pt>
                <c:pt idx="1">
                  <c:v>8019.190023291897</c:v>
                </c:pt>
                <c:pt idx="2">
                  <c:v>6493.6459636449608</c:v>
                </c:pt>
                <c:pt idx="3">
                  <c:v>5168.7363175251003</c:v>
                </c:pt>
                <c:pt idx="4">
                  <c:v>4018.0743230182193</c:v>
                </c:pt>
                <c:pt idx="5">
                  <c:v>3018.7435162118177</c:v>
                </c:pt>
              </c:numCache>
            </c:numRef>
          </c:yVal>
        </c:ser>
        <c:axId val="60537856"/>
        <c:axId val="60548992"/>
      </c:scatterChart>
      <c:valAx>
        <c:axId val="6053785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CL"/>
                  <a:t>Profundidad cielo abierto (m)</a:t>
                </a:r>
              </a:p>
            </c:rich>
          </c:tx>
          <c:layout>
            <c:manualLayout>
              <c:xMode val="edge"/>
              <c:yMode val="edge"/>
              <c:x val="0.27197233453926367"/>
              <c:y val="0.93519776953950795"/>
            </c:manualLayout>
          </c:layout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L"/>
          </a:p>
        </c:txPr>
        <c:crossAx val="60548992"/>
        <c:crosses val="autoZero"/>
        <c:crossBetween val="midCat"/>
        <c:majorUnit val="100"/>
      </c:valAx>
      <c:valAx>
        <c:axId val="60548992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CL"/>
                  <a:t>VAN proyecto[MU$]</a:t>
                </a:r>
              </a:p>
            </c:rich>
          </c:tx>
          <c:layout/>
        </c:title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L"/>
          </a:p>
        </c:txPr>
        <c:crossAx val="60537856"/>
        <c:crosses val="autoZero"/>
        <c:crossBetween val="midCat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69555919699226787"/>
          <c:y val="9.6518071427841953E-2"/>
          <c:w val="0.22838107398737317"/>
          <c:h val="0.15535851792844957"/>
        </c:manualLayout>
      </c:layout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CL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L"/>
    </a:p>
  </c:txPr>
  <c:printSettings>
    <c:headerFooter/>
    <c:pageMargins b="0.75000000000000022" l="0.70000000000000018" r="0.70000000000000018" t="0.75000000000000022" header="0.3000000000000001" footer="0.3000000000000001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s-CL"/>
  <c:chart>
    <c:autoTitleDeleted val="1"/>
    <c:plotArea>
      <c:layout>
        <c:manualLayout>
          <c:layoutTarget val="inner"/>
          <c:xMode val="edge"/>
          <c:yMode val="edge"/>
          <c:x val="0.16069544998150398"/>
          <c:y val="8.3248661713895999E-2"/>
          <c:w val="0.50547340978350852"/>
          <c:h val="0.75597579963521555"/>
        </c:manualLayout>
      </c:layout>
      <c:scatterChart>
        <c:scatterStyle val="lineMarker"/>
        <c:ser>
          <c:idx val="0"/>
          <c:order val="0"/>
          <c:tx>
            <c:strRef>
              <c:f>Ejercicio!$B$79</c:f>
              <c:strCache>
                <c:ptCount val="1"/>
                <c:pt idx="0">
                  <c:v>CIELO ABIERTO + SUBTE</c:v>
                </c:pt>
              </c:strCache>
            </c:strRef>
          </c:tx>
          <c:xVal>
            <c:numRef>
              <c:f>Ejercicio!$C$26:$H$26</c:f>
              <c:numCache>
                <c:formatCode>General</c:formatCode>
                <c:ptCount val="6"/>
                <c:pt idx="0">
                  <c:v>300</c:v>
                </c:pt>
                <c:pt idx="1">
                  <c:v>400</c:v>
                </c:pt>
                <c:pt idx="2">
                  <c:v>500</c:v>
                </c:pt>
                <c:pt idx="3">
                  <c:v>600</c:v>
                </c:pt>
                <c:pt idx="4">
                  <c:v>700</c:v>
                </c:pt>
                <c:pt idx="5">
                  <c:v>800</c:v>
                </c:pt>
              </c:numCache>
            </c:numRef>
          </c:xVal>
          <c:yVal>
            <c:numRef>
              <c:f>Ejercicio!$C$79:$H$79</c:f>
              <c:numCache>
                <c:formatCode>0</c:formatCode>
                <c:ptCount val="6"/>
                <c:pt idx="0">
                  <c:v>16750.333475819847</c:v>
                </c:pt>
                <c:pt idx="1">
                  <c:v>16828.18166906324</c:v>
                </c:pt>
                <c:pt idx="2">
                  <c:v>16820.478094710532</c:v>
                </c:pt>
                <c:pt idx="3">
                  <c:v>16742.065934414408</c:v>
                </c:pt>
                <c:pt idx="4">
                  <c:v>16605.363876122981</c:v>
                </c:pt>
                <c:pt idx="5">
                  <c:v>16420.747099631193</c:v>
                </c:pt>
              </c:numCache>
            </c:numRef>
          </c:yVal>
        </c:ser>
        <c:axId val="63100032"/>
        <c:axId val="63102336"/>
      </c:scatterChart>
      <c:valAx>
        <c:axId val="63100032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CL"/>
                  <a:t>Profundidad cielo abierto (m)</a:t>
                </a:r>
              </a:p>
            </c:rich>
          </c:tx>
          <c:layout>
            <c:manualLayout>
              <c:xMode val="edge"/>
              <c:yMode val="edge"/>
              <c:x val="0.27197247641342126"/>
              <c:y val="0.93519766695829676"/>
            </c:manualLayout>
          </c:layout>
        </c:title>
        <c:numFmt formatCode="General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L"/>
          </a:p>
        </c:txPr>
        <c:crossAx val="63102336"/>
        <c:crosses val="autoZero"/>
        <c:crossBetween val="midCat"/>
        <c:majorUnit val="100"/>
      </c:valAx>
      <c:valAx>
        <c:axId val="63102336"/>
        <c:scaling>
          <c:orientation val="minMax"/>
        </c:scaling>
        <c:axPos val="l"/>
        <c:majorGridlines/>
        <c:title>
          <c:tx>
            <c:rich>
              <a:bodyPr/>
              <a:lstStyle/>
              <a:p>
                <a:pPr>
                  <a:defRPr sz="1000" b="1" i="0" u="none" strike="noStrike" baseline="0">
                    <a:solidFill>
                      <a:srgbClr val="000000"/>
                    </a:solidFill>
                    <a:latin typeface="Calibri"/>
                    <a:ea typeface="Calibri"/>
                    <a:cs typeface="Calibri"/>
                  </a:defRPr>
                </a:pPr>
                <a:r>
                  <a:rPr lang="es-CL"/>
                  <a:t>VAN proyecto</a:t>
                </a:r>
              </a:p>
            </c:rich>
          </c:tx>
          <c:layout/>
        </c:title>
        <c:numFmt formatCode="0" sourceLinked="1"/>
        <c:majorTickMark val="none"/>
        <c:tickLblPos val="nextTo"/>
        <c:txPr>
          <a:bodyPr rot="0" vert="horz"/>
          <a:lstStyle/>
          <a:p>
            <a:pPr>
              <a:defRPr sz="1000" b="0" i="0" u="none" strike="noStrike" baseline="0">
                <a:solidFill>
                  <a:srgbClr val="000000"/>
                </a:solidFill>
                <a:latin typeface="Calibri"/>
                <a:ea typeface="Calibri"/>
                <a:cs typeface="Calibri"/>
              </a:defRPr>
            </a:pPr>
            <a:endParaRPr lang="es-CL"/>
          </a:p>
        </c:txPr>
        <c:crossAx val="63100032"/>
        <c:crosses val="autoZero"/>
        <c:crossBetween val="midCat"/>
      </c:valAx>
      <c:spPr>
        <a:ln>
          <a:solidFill>
            <a:schemeClr val="accent1"/>
          </a:solidFill>
        </a:ln>
      </c:spPr>
    </c:plotArea>
    <c:legend>
      <c:legendPos val="r"/>
      <c:layout>
        <c:manualLayout>
          <c:xMode val="edge"/>
          <c:yMode val="edge"/>
          <c:x val="0.69555919699226787"/>
          <c:y val="9.6518401866433359E-2"/>
          <c:w val="0.22838093211321553"/>
          <c:h val="0.15535841353164187"/>
        </c:manualLayout>
      </c:layout>
      <c:txPr>
        <a:bodyPr/>
        <a:lstStyle/>
        <a:p>
          <a:pPr>
            <a:defRPr sz="775" b="0" i="0" u="none" strike="noStrike" baseline="0">
              <a:solidFill>
                <a:srgbClr val="000000"/>
              </a:solidFill>
              <a:latin typeface="Calibri"/>
              <a:ea typeface="Calibri"/>
              <a:cs typeface="Calibri"/>
            </a:defRPr>
          </a:pPr>
          <a:endParaRPr lang="es-CL"/>
        </a:p>
      </c:txPr>
    </c:legend>
    <c:plotVisOnly val="1"/>
    <c:dispBlanksAs val="gap"/>
  </c:chart>
  <c:txPr>
    <a:bodyPr/>
    <a:lstStyle/>
    <a:p>
      <a:pPr>
        <a:defRPr sz="1000" b="0" i="0" u="none" strike="noStrike" baseline="0">
          <a:solidFill>
            <a:srgbClr val="000000"/>
          </a:solidFill>
          <a:latin typeface="Calibri"/>
          <a:ea typeface="Calibri"/>
          <a:cs typeface="Calibri"/>
        </a:defRPr>
      </a:pPr>
      <a:endParaRPr lang="es-CL"/>
    </a:p>
  </c:txPr>
  <c:printSettings>
    <c:headerFooter/>
    <c:pageMargins b="0.75000000000000044" l="0.7000000000000004" r="0.7000000000000004" t="0.75000000000000044" header="0.30000000000000021" footer="0.30000000000000021"/>
    <c:pageSetup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emf"/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485775</xdr:colOff>
      <xdr:row>1</xdr:row>
      <xdr:rowOff>0</xdr:rowOff>
    </xdr:from>
    <xdr:to>
      <xdr:col>17</xdr:col>
      <xdr:colOff>676275</xdr:colOff>
      <xdr:row>25</xdr:row>
      <xdr:rowOff>76200</xdr:rowOff>
    </xdr:to>
    <xdr:graphicFrame macro="">
      <xdr:nvGraphicFramePr>
        <xdr:cNvPr id="1247" name="1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8</xdr:col>
      <xdr:colOff>476250</xdr:colOff>
      <xdr:row>26</xdr:row>
      <xdr:rowOff>76200</xdr:rowOff>
    </xdr:from>
    <xdr:to>
      <xdr:col>17</xdr:col>
      <xdr:colOff>666750</xdr:colOff>
      <xdr:row>49</xdr:row>
      <xdr:rowOff>133350</xdr:rowOff>
    </xdr:to>
    <xdr:graphicFrame macro="">
      <xdr:nvGraphicFramePr>
        <xdr:cNvPr id="1248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oleObject" Target="../embeddings/oleObject2.bin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J87"/>
  <sheetViews>
    <sheetView tabSelected="1" zoomScale="76" zoomScaleNormal="76" workbookViewId="0">
      <selection activeCell="A53" sqref="A53"/>
    </sheetView>
  </sheetViews>
  <sheetFormatPr baseColWidth="10" defaultRowHeight="15"/>
  <cols>
    <col min="2" max="2" width="28.28515625" customWidth="1"/>
    <col min="3" max="6" width="12.5703125" bestFit="1" customWidth="1"/>
    <col min="7" max="7" width="14.7109375" customWidth="1"/>
    <col min="8" max="8" width="16.140625" customWidth="1"/>
    <col min="10" max="10" width="16.42578125" bestFit="1" customWidth="1"/>
  </cols>
  <sheetData>
    <row r="1" spans="2:8" ht="27" thickBot="1">
      <c r="B1" s="42" t="s">
        <v>56</v>
      </c>
    </row>
    <row r="2" spans="2:8">
      <c r="B2" s="18" t="s">
        <v>51</v>
      </c>
      <c r="C2" s="17"/>
      <c r="D2" s="17"/>
      <c r="E2" s="17"/>
      <c r="F2" s="17"/>
      <c r="G2" s="17"/>
      <c r="H2" s="16"/>
    </row>
    <row r="3" spans="2:8">
      <c r="B3" s="7" t="s">
        <v>50</v>
      </c>
      <c r="C3" s="13">
        <f>1300*200</f>
        <v>260000</v>
      </c>
      <c r="D3" s="13" t="s">
        <v>49</v>
      </c>
      <c r="E3" s="13"/>
      <c r="F3" s="13"/>
      <c r="G3" s="13"/>
      <c r="H3" s="12"/>
    </row>
    <row r="4" spans="2:8">
      <c r="B4" s="7" t="s">
        <v>48</v>
      </c>
      <c r="C4" s="13">
        <v>1000</v>
      </c>
      <c r="D4" s="13" t="s">
        <v>45</v>
      </c>
      <c r="E4" s="13"/>
      <c r="F4" s="13"/>
      <c r="G4" s="13"/>
      <c r="H4" s="12"/>
    </row>
    <row r="5" spans="2:8">
      <c r="B5" s="7" t="s">
        <v>47</v>
      </c>
      <c r="C5" s="13">
        <v>200</v>
      </c>
      <c r="D5" s="13" t="s">
        <v>45</v>
      </c>
      <c r="E5" s="13"/>
      <c r="F5" s="13"/>
      <c r="G5" s="13"/>
      <c r="H5" s="12"/>
    </row>
    <row r="6" spans="2:8">
      <c r="B6" s="7" t="s">
        <v>46</v>
      </c>
      <c r="C6" s="13">
        <v>1300</v>
      </c>
      <c r="D6" s="13" t="s">
        <v>45</v>
      </c>
      <c r="E6" s="13"/>
      <c r="F6" s="13"/>
      <c r="G6" s="13"/>
      <c r="H6" s="12"/>
    </row>
    <row r="7" spans="2:8">
      <c r="B7" s="7" t="s">
        <v>44</v>
      </c>
      <c r="C7" s="41">
        <v>2</v>
      </c>
      <c r="D7" s="41" t="s">
        <v>43</v>
      </c>
      <c r="E7" s="13"/>
      <c r="F7" s="13"/>
      <c r="G7" s="13"/>
      <c r="H7" s="12"/>
    </row>
    <row r="8" spans="2:8" ht="15.75" customHeight="1">
      <c r="B8" s="40" t="s">
        <v>42</v>
      </c>
      <c r="C8" s="13"/>
      <c r="D8" s="13"/>
      <c r="E8" s="13"/>
      <c r="F8" s="13"/>
      <c r="G8" s="13"/>
      <c r="H8" s="12"/>
    </row>
    <row r="9" spans="2:8">
      <c r="B9" s="7" t="s">
        <v>41</v>
      </c>
      <c r="C9" s="13">
        <v>2</v>
      </c>
      <c r="D9" s="13" t="s">
        <v>40</v>
      </c>
      <c r="E9" s="13"/>
      <c r="F9" s="13"/>
      <c r="G9" s="13"/>
      <c r="H9" s="12"/>
    </row>
    <row r="10" spans="2:8">
      <c r="B10" s="7" t="s">
        <v>39</v>
      </c>
      <c r="C10" s="13">
        <v>2</v>
      </c>
      <c r="D10" s="13" t="s">
        <v>37</v>
      </c>
      <c r="E10" s="13"/>
      <c r="F10" s="13"/>
      <c r="G10" s="13"/>
      <c r="H10" s="12"/>
    </row>
    <row r="11" spans="2:8">
      <c r="B11" s="7" t="s">
        <v>38</v>
      </c>
      <c r="C11" s="13">
        <v>7</v>
      </c>
      <c r="D11" s="13" t="s">
        <v>37</v>
      </c>
      <c r="E11" s="13"/>
      <c r="F11" s="13"/>
      <c r="G11" s="13"/>
      <c r="H11" s="12"/>
    </row>
    <row r="12" spans="2:8">
      <c r="B12" s="7" t="s">
        <v>85</v>
      </c>
      <c r="C12" s="41">
        <v>5</v>
      </c>
      <c r="D12" s="13" t="s">
        <v>37</v>
      </c>
      <c r="E12" s="13"/>
      <c r="F12" s="13"/>
      <c r="G12" s="13"/>
      <c r="H12" s="12"/>
    </row>
    <row r="13" spans="2:8">
      <c r="B13" s="7" t="s">
        <v>36</v>
      </c>
      <c r="C13" s="13">
        <v>540</v>
      </c>
      <c r="D13" s="13" t="s">
        <v>12</v>
      </c>
      <c r="E13" s="13"/>
      <c r="F13" s="13"/>
      <c r="G13" s="13"/>
      <c r="H13" s="12"/>
    </row>
    <row r="14" spans="2:8">
      <c r="B14" s="7"/>
      <c r="C14" s="13"/>
      <c r="D14" s="13"/>
      <c r="E14" s="13"/>
      <c r="F14" s="13"/>
      <c r="G14" s="13"/>
      <c r="H14" s="12"/>
    </row>
    <row r="15" spans="2:8">
      <c r="B15" s="40" t="s">
        <v>35</v>
      </c>
      <c r="C15" s="13"/>
      <c r="D15" s="13"/>
      <c r="E15" s="13"/>
      <c r="F15" s="13"/>
      <c r="G15" s="13"/>
      <c r="H15" s="12"/>
    </row>
    <row r="16" spans="2:8">
      <c r="B16" s="7" t="s">
        <v>55</v>
      </c>
      <c r="C16" s="13">
        <v>1000</v>
      </c>
      <c r="D16" s="13" t="s">
        <v>33</v>
      </c>
      <c r="E16" s="13"/>
      <c r="F16" s="13"/>
      <c r="G16" s="13"/>
      <c r="H16" s="12"/>
    </row>
    <row r="17" spans="2:8">
      <c r="B17" s="7" t="s">
        <v>34</v>
      </c>
      <c r="C17" s="13">
        <v>2000</v>
      </c>
      <c r="D17" s="13" t="s">
        <v>33</v>
      </c>
      <c r="E17" s="13"/>
      <c r="F17" s="13"/>
      <c r="G17" s="13"/>
      <c r="H17" s="12"/>
    </row>
    <row r="18" spans="2:8">
      <c r="B18" s="7"/>
      <c r="C18" s="13"/>
      <c r="D18" s="13"/>
      <c r="E18" s="13"/>
      <c r="F18" s="13"/>
      <c r="G18" s="13"/>
      <c r="H18" s="12"/>
    </row>
    <row r="19" spans="2:8">
      <c r="B19" s="40" t="s">
        <v>52</v>
      </c>
      <c r="C19" s="13"/>
      <c r="D19" s="13"/>
      <c r="E19" s="13"/>
      <c r="F19" s="13"/>
      <c r="G19" s="13"/>
      <c r="H19" s="12"/>
    </row>
    <row r="20" spans="2:8">
      <c r="B20" s="7" t="s">
        <v>32</v>
      </c>
      <c r="C20" s="13">
        <v>100000</v>
      </c>
      <c r="D20" s="13" t="s">
        <v>30</v>
      </c>
      <c r="E20" s="13">
        <f>C20*365/1000000</f>
        <v>36.5</v>
      </c>
      <c r="F20" s="13" t="s">
        <v>29</v>
      </c>
      <c r="G20" s="13"/>
      <c r="H20" s="12"/>
    </row>
    <row r="21" spans="2:8">
      <c r="B21" s="7" t="s">
        <v>31</v>
      </c>
      <c r="C21" s="13">
        <v>100000</v>
      </c>
      <c r="D21" s="13" t="s">
        <v>30</v>
      </c>
      <c r="E21" s="13">
        <f>C21*365/1000000</f>
        <v>36.5</v>
      </c>
      <c r="F21" s="13" t="s">
        <v>29</v>
      </c>
      <c r="G21" s="13"/>
      <c r="H21" s="12"/>
    </row>
    <row r="22" spans="2:8">
      <c r="B22" s="7"/>
      <c r="C22" s="13"/>
      <c r="D22" s="13"/>
      <c r="E22" s="13"/>
      <c r="F22" s="13"/>
      <c r="G22" s="13"/>
      <c r="H22" s="12"/>
    </row>
    <row r="23" spans="2:8">
      <c r="B23" s="40" t="s">
        <v>28</v>
      </c>
      <c r="C23" s="13"/>
      <c r="D23" s="13"/>
      <c r="E23" s="13"/>
      <c r="F23" s="13"/>
      <c r="G23" s="13"/>
      <c r="H23" s="12"/>
    </row>
    <row r="24" spans="2:8" ht="15.75" thickBot="1">
      <c r="B24" s="21" t="s">
        <v>27</v>
      </c>
      <c r="C24" s="43">
        <v>0.1</v>
      </c>
      <c r="D24" s="26"/>
      <c r="E24" s="26"/>
      <c r="F24" s="26"/>
      <c r="G24" s="26"/>
      <c r="H24" s="25"/>
    </row>
    <row r="25" spans="2:8" ht="48" customHeight="1" thickBot="1">
      <c r="C25" s="41"/>
    </row>
    <row r="26" spans="2:8" ht="15.75" thickBot="1">
      <c r="B26" s="39" t="s">
        <v>26</v>
      </c>
      <c r="C26" s="55">
        <v>300</v>
      </c>
      <c r="D26" s="38">
        <f>C26+100</f>
        <v>400</v>
      </c>
      <c r="E26" s="38">
        <f>D26+100</f>
        <v>500</v>
      </c>
      <c r="F26" s="38">
        <f>E26+100</f>
        <v>600</v>
      </c>
      <c r="G26" s="38">
        <f>F26+100</f>
        <v>700</v>
      </c>
      <c r="H26" s="37">
        <f>G26+100</f>
        <v>800</v>
      </c>
    </row>
    <row r="27" spans="2:8">
      <c r="B27" s="33"/>
      <c r="C27" s="56"/>
      <c r="D27" s="15"/>
      <c r="E27" s="15"/>
      <c r="F27" s="15"/>
      <c r="G27" s="15"/>
      <c r="H27" s="14"/>
    </row>
    <row r="28" spans="2:8">
      <c r="B28" s="33" t="s">
        <v>24</v>
      </c>
      <c r="C28" s="56">
        <f t="shared" ref="C28:H28" si="0">C26*200</f>
        <v>60000</v>
      </c>
      <c r="D28" s="15">
        <f t="shared" si="0"/>
        <v>80000</v>
      </c>
      <c r="E28" s="15">
        <f t="shared" si="0"/>
        <v>100000</v>
      </c>
      <c r="F28" s="15">
        <f t="shared" si="0"/>
        <v>120000</v>
      </c>
      <c r="G28" s="15">
        <f t="shared" si="0"/>
        <v>140000</v>
      </c>
      <c r="H28" s="14">
        <f t="shared" si="0"/>
        <v>160000</v>
      </c>
    </row>
    <row r="29" spans="2:8">
      <c r="B29" s="33"/>
      <c r="C29" s="56"/>
      <c r="D29" s="15"/>
      <c r="E29" s="15"/>
      <c r="F29" s="15"/>
      <c r="G29" s="15"/>
      <c r="H29" s="14"/>
    </row>
    <row r="30" spans="2:8">
      <c r="B30" s="33"/>
      <c r="C30" s="56"/>
      <c r="D30" s="15"/>
      <c r="E30" s="15"/>
      <c r="F30" s="15"/>
      <c r="G30" s="15"/>
      <c r="H30" s="14"/>
    </row>
    <row r="31" spans="2:8">
      <c r="B31" s="33" t="s">
        <v>22</v>
      </c>
      <c r="C31" s="56">
        <f t="shared" ref="C31:H31" si="1">C26*C26</f>
        <v>90000</v>
      </c>
      <c r="D31" s="15">
        <f t="shared" si="1"/>
        <v>160000</v>
      </c>
      <c r="E31" s="15">
        <f t="shared" si="1"/>
        <v>250000</v>
      </c>
      <c r="F31" s="15">
        <f t="shared" si="1"/>
        <v>360000</v>
      </c>
      <c r="G31" s="15">
        <f t="shared" si="1"/>
        <v>490000</v>
      </c>
      <c r="H31" s="14">
        <f t="shared" si="1"/>
        <v>640000</v>
      </c>
    </row>
    <row r="32" spans="2:8">
      <c r="B32" s="33"/>
      <c r="C32" s="7"/>
      <c r="D32" s="13"/>
      <c r="E32" s="13"/>
      <c r="F32" s="13"/>
      <c r="G32" s="13"/>
      <c r="H32" s="12"/>
    </row>
    <row r="33" spans="2:8">
      <c r="B33" s="33" t="s">
        <v>53</v>
      </c>
      <c r="C33" s="56">
        <f t="shared" ref="C33:H33" si="2">C31*2.7*$C$4/1000000</f>
        <v>243.00000000000003</v>
      </c>
      <c r="D33" s="15">
        <f t="shared" si="2"/>
        <v>432</v>
      </c>
      <c r="E33" s="15">
        <f t="shared" si="2"/>
        <v>675</v>
      </c>
      <c r="F33" s="15">
        <f t="shared" si="2"/>
        <v>972.00000000000011</v>
      </c>
      <c r="G33" s="15">
        <f t="shared" si="2"/>
        <v>1323</v>
      </c>
      <c r="H33" s="14">
        <f t="shared" si="2"/>
        <v>1728</v>
      </c>
    </row>
    <row r="34" spans="2:8">
      <c r="B34" s="33" t="s">
        <v>54</v>
      </c>
      <c r="C34" s="56">
        <f t="shared" ref="C34:H34" si="3">C28*2.7*$C$4/1000000</f>
        <v>162</v>
      </c>
      <c r="D34" s="15">
        <f t="shared" si="3"/>
        <v>216</v>
      </c>
      <c r="E34" s="15">
        <f t="shared" si="3"/>
        <v>270</v>
      </c>
      <c r="F34" s="15">
        <f t="shared" si="3"/>
        <v>324</v>
      </c>
      <c r="G34" s="15">
        <f t="shared" si="3"/>
        <v>378</v>
      </c>
      <c r="H34" s="14">
        <f t="shared" si="3"/>
        <v>432</v>
      </c>
    </row>
    <row r="35" spans="2:8">
      <c r="B35" s="33"/>
      <c r="C35" s="7"/>
      <c r="D35" s="13"/>
      <c r="E35" s="13"/>
      <c r="F35" s="13"/>
      <c r="G35" s="13"/>
      <c r="H35" s="12"/>
    </row>
    <row r="36" spans="2:8">
      <c r="B36" s="36" t="s">
        <v>21</v>
      </c>
      <c r="C36" s="7"/>
      <c r="D36" s="13"/>
      <c r="E36" s="13"/>
      <c r="F36" s="13"/>
      <c r="G36" s="13"/>
      <c r="H36" s="12"/>
    </row>
    <row r="37" spans="2:8">
      <c r="B37" s="33" t="s">
        <v>20</v>
      </c>
      <c r="C37" s="57">
        <f t="shared" ref="C37:H37" si="4">C31/C28</f>
        <v>1.5</v>
      </c>
      <c r="D37" s="6">
        <f t="shared" si="4"/>
        <v>2</v>
      </c>
      <c r="E37" s="6">
        <f t="shared" si="4"/>
        <v>2.5</v>
      </c>
      <c r="F37" s="6">
        <f t="shared" si="4"/>
        <v>3</v>
      </c>
      <c r="G37" s="6">
        <f t="shared" si="4"/>
        <v>3.5</v>
      </c>
      <c r="H37" s="5">
        <f t="shared" si="4"/>
        <v>4</v>
      </c>
    </row>
    <row r="38" spans="2:8" hidden="1">
      <c r="B38" s="33" t="s">
        <v>19</v>
      </c>
      <c r="C38" s="57" t="e">
        <f t="shared" ref="C38:H38" si="5">C30/C27</f>
        <v>#DIV/0!</v>
      </c>
      <c r="D38" s="6" t="e">
        <f t="shared" si="5"/>
        <v>#DIV/0!</v>
      </c>
      <c r="E38" s="6" t="e">
        <f t="shared" si="5"/>
        <v>#DIV/0!</v>
      </c>
      <c r="F38" s="6" t="e">
        <f t="shared" si="5"/>
        <v>#DIV/0!</v>
      </c>
      <c r="G38" s="6" t="e">
        <f t="shared" si="5"/>
        <v>#DIV/0!</v>
      </c>
      <c r="H38" s="5" t="e">
        <f t="shared" si="5"/>
        <v>#DIV/0!</v>
      </c>
    </row>
    <row r="39" spans="2:8">
      <c r="B39" s="33" t="s">
        <v>68</v>
      </c>
      <c r="C39" s="58">
        <f t="shared" ref="C39:H39" si="6">$E$20</f>
        <v>36.5</v>
      </c>
      <c r="D39" s="11">
        <f t="shared" si="6"/>
        <v>36.5</v>
      </c>
      <c r="E39" s="11">
        <f t="shared" si="6"/>
        <v>36.5</v>
      </c>
      <c r="F39" s="11">
        <f t="shared" si="6"/>
        <v>36.5</v>
      </c>
      <c r="G39" s="11">
        <f t="shared" si="6"/>
        <v>36.5</v>
      </c>
      <c r="H39" s="10">
        <f t="shared" si="6"/>
        <v>36.5</v>
      </c>
    </row>
    <row r="40" spans="2:8">
      <c r="B40" s="33"/>
      <c r="C40" s="56"/>
      <c r="D40" s="15"/>
      <c r="E40" s="15"/>
      <c r="F40" s="15"/>
      <c r="G40" s="15"/>
      <c r="H40" s="14"/>
    </row>
    <row r="41" spans="2:8">
      <c r="B41" s="33" t="s">
        <v>69</v>
      </c>
      <c r="C41" s="58">
        <f t="shared" ref="C41:H41" si="7">C34/C39</f>
        <v>4.4383561643835616</v>
      </c>
      <c r="D41" s="11">
        <f t="shared" si="7"/>
        <v>5.9178082191780819</v>
      </c>
      <c r="E41" s="11">
        <f t="shared" si="7"/>
        <v>7.397260273972603</v>
      </c>
      <c r="F41" s="11">
        <f t="shared" si="7"/>
        <v>8.8767123287671232</v>
      </c>
      <c r="G41" s="11">
        <f t="shared" si="7"/>
        <v>10.356164383561644</v>
      </c>
      <c r="H41" s="10">
        <f t="shared" si="7"/>
        <v>11.835616438356164</v>
      </c>
    </row>
    <row r="42" spans="2:8" ht="15.75" thickBot="1">
      <c r="B42" s="32" t="s">
        <v>18</v>
      </c>
      <c r="C42" s="59">
        <f t="shared" ref="C42:H42" si="8">C33/C41</f>
        <v>54.750000000000007</v>
      </c>
      <c r="D42" s="31">
        <f t="shared" si="8"/>
        <v>73</v>
      </c>
      <c r="E42" s="31">
        <f t="shared" si="8"/>
        <v>91.25</v>
      </c>
      <c r="F42" s="31">
        <f t="shared" si="8"/>
        <v>109.50000000000001</v>
      </c>
      <c r="G42" s="31">
        <f t="shared" si="8"/>
        <v>127.75</v>
      </c>
      <c r="H42" s="30">
        <f t="shared" si="8"/>
        <v>146</v>
      </c>
    </row>
    <row r="43" spans="2:8" ht="15.75" thickBot="1">
      <c r="C43" s="35"/>
      <c r="D43" s="35"/>
      <c r="E43" s="35"/>
      <c r="F43" s="35"/>
      <c r="G43" s="35"/>
      <c r="H43" s="35"/>
    </row>
    <row r="44" spans="2:8">
      <c r="B44" s="34" t="s">
        <v>79</v>
      </c>
      <c r="C44" s="53">
        <f t="shared" ref="C44:H44" si="9">$C$3-C28</f>
        <v>200000</v>
      </c>
      <c r="D44" s="53">
        <f t="shared" si="9"/>
        <v>180000</v>
      </c>
      <c r="E44" s="53">
        <f t="shared" si="9"/>
        <v>160000</v>
      </c>
      <c r="F44" s="53">
        <f t="shared" si="9"/>
        <v>140000</v>
      </c>
      <c r="G44" s="53">
        <f t="shared" si="9"/>
        <v>120000</v>
      </c>
      <c r="H44" s="54">
        <f t="shared" si="9"/>
        <v>100000</v>
      </c>
    </row>
    <row r="45" spans="2:8">
      <c r="B45" s="33" t="s">
        <v>80</v>
      </c>
      <c r="C45" s="15">
        <f t="shared" ref="C45:H45" si="10">C44*$C$4*2.7/1000000</f>
        <v>540</v>
      </c>
      <c r="D45" s="15">
        <f t="shared" si="10"/>
        <v>486.00000000000006</v>
      </c>
      <c r="E45" s="15">
        <f t="shared" si="10"/>
        <v>432</v>
      </c>
      <c r="F45" s="15">
        <f t="shared" si="10"/>
        <v>378</v>
      </c>
      <c r="G45" s="15">
        <f t="shared" si="10"/>
        <v>324</v>
      </c>
      <c r="H45" s="14">
        <f t="shared" si="10"/>
        <v>270</v>
      </c>
    </row>
    <row r="46" spans="2:8">
      <c r="B46" s="33" t="s">
        <v>81</v>
      </c>
      <c r="C46" s="15">
        <f t="shared" ref="C46:H46" si="11">$E$21</f>
        <v>36.5</v>
      </c>
      <c r="D46" s="15">
        <f t="shared" si="11"/>
        <v>36.5</v>
      </c>
      <c r="E46" s="15">
        <f t="shared" si="11"/>
        <v>36.5</v>
      </c>
      <c r="F46" s="15">
        <f t="shared" si="11"/>
        <v>36.5</v>
      </c>
      <c r="G46" s="15">
        <f t="shared" si="11"/>
        <v>36.5</v>
      </c>
      <c r="H46" s="14">
        <f t="shared" si="11"/>
        <v>36.5</v>
      </c>
    </row>
    <row r="47" spans="2:8" ht="15.75" thickBot="1">
      <c r="B47" s="32" t="s">
        <v>17</v>
      </c>
      <c r="C47" s="31">
        <f t="shared" ref="C47:H47" si="12">C45/C46</f>
        <v>14.794520547945206</v>
      </c>
      <c r="D47" s="31">
        <f t="shared" si="12"/>
        <v>13.315068493150687</v>
      </c>
      <c r="E47" s="31">
        <f t="shared" si="12"/>
        <v>11.835616438356164</v>
      </c>
      <c r="F47" s="31">
        <f t="shared" si="12"/>
        <v>10.356164383561644</v>
      </c>
      <c r="G47" s="31">
        <f t="shared" si="12"/>
        <v>8.8767123287671232</v>
      </c>
      <c r="H47" s="30">
        <f t="shared" si="12"/>
        <v>7.397260273972603</v>
      </c>
    </row>
    <row r="49" spans="2:10" ht="15.75" thickBot="1">
      <c r="B49" s="29" t="s">
        <v>16</v>
      </c>
    </row>
    <row r="50" spans="2:10">
      <c r="B50" s="24" t="s">
        <v>15</v>
      </c>
      <c r="C50" s="28">
        <v>2</v>
      </c>
      <c r="D50" s="17" t="s">
        <v>14</v>
      </c>
      <c r="E50" s="17"/>
      <c r="F50" s="17"/>
      <c r="G50" s="17"/>
      <c r="H50" s="16"/>
    </row>
    <row r="51" spans="2:10">
      <c r="B51" s="7" t="s">
        <v>13</v>
      </c>
      <c r="C51" s="13">
        <f>C50*2.2*1000</f>
        <v>4400</v>
      </c>
      <c r="D51" s="13" t="s">
        <v>12</v>
      </c>
      <c r="E51" s="13"/>
      <c r="F51" s="13"/>
      <c r="G51" s="13"/>
      <c r="H51" s="12"/>
    </row>
    <row r="52" spans="2:10">
      <c r="B52" s="7" t="s">
        <v>11</v>
      </c>
      <c r="C52" s="27">
        <v>0.95</v>
      </c>
      <c r="D52" s="13"/>
      <c r="E52" s="13"/>
      <c r="F52" s="13"/>
      <c r="G52" s="13"/>
      <c r="H52" s="12"/>
    </row>
    <row r="53" spans="2:10" ht="29.25" thickBot="1">
      <c r="B53" s="21" t="s">
        <v>10</v>
      </c>
      <c r="C53" s="26">
        <f>C52*E20*1000000*C7/100</f>
        <v>693500</v>
      </c>
      <c r="D53" s="26" t="s">
        <v>9</v>
      </c>
      <c r="E53" s="26"/>
      <c r="F53" s="26"/>
      <c r="G53" s="26"/>
      <c r="H53" s="25"/>
      <c r="J53" s="44" t="s">
        <v>57</v>
      </c>
    </row>
    <row r="54" spans="2:10" ht="15.75" thickBot="1">
      <c r="B54" s="39" t="s">
        <v>26</v>
      </c>
      <c r="C54" s="38">
        <v>300</v>
      </c>
      <c r="D54" s="38">
        <f>C54+100</f>
        <v>400</v>
      </c>
      <c r="E54" s="38">
        <f>D54+100</f>
        <v>500</v>
      </c>
      <c r="F54" s="38">
        <f>E54+100</f>
        <v>600</v>
      </c>
      <c r="G54" s="38">
        <f>F54+100</f>
        <v>700</v>
      </c>
      <c r="H54" s="37">
        <f>G54+100</f>
        <v>800</v>
      </c>
    </row>
    <row r="55" spans="2:10">
      <c r="B55" s="34" t="s">
        <v>8</v>
      </c>
      <c r="C55" s="9">
        <f t="shared" ref="C55:H55" si="13">$C$53*$C$51/1000000</f>
        <v>3051.4</v>
      </c>
      <c r="D55" s="9">
        <f t="shared" si="13"/>
        <v>3051.4</v>
      </c>
      <c r="E55" s="9">
        <f t="shared" si="13"/>
        <v>3051.4</v>
      </c>
      <c r="F55" s="9">
        <f t="shared" si="13"/>
        <v>3051.4</v>
      </c>
      <c r="G55" s="9">
        <f t="shared" si="13"/>
        <v>3051.4</v>
      </c>
      <c r="H55" s="8">
        <f t="shared" si="13"/>
        <v>3051.4</v>
      </c>
    </row>
    <row r="56" spans="2:10">
      <c r="B56" s="33" t="s">
        <v>7</v>
      </c>
      <c r="C56" s="9">
        <f t="shared" ref="C56:H56" si="14">C42*$C$9</f>
        <v>109.50000000000001</v>
      </c>
      <c r="D56" s="9">
        <f t="shared" si="14"/>
        <v>146</v>
      </c>
      <c r="E56" s="9">
        <f t="shared" si="14"/>
        <v>182.5</v>
      </c>
      <c r="F56" s="9">
        <f t="shared" si="14"/>
        <v>219.00000000000003</v>
      </c>
      <c r="G56" s="9">
        <f t="shared" si="14"/>
        <v>255.5</v>
      </c>
      <c r="H56" s="8">
        <f t="shared" si="14"/>
        <v>292</v>
      </c>
    </row>
    <row r="57" spans="2:10">
      <c r="B57" s="33" t="s">
        <v>6</v>
      </c>
      <c r="C57" s="11">
        <f>$C$10*$E$20</f>
        <v>73</v>
      </c>
      <c r="D57" s="11">
        <f t="shared" ref="C57:H57" si="15">$C$10*$E$20</f>
        <v>73</v>
      </c>
      <c r="E57" s="11">
        <f t="shared" si="15"/>
        <v>73</v>
      </c>
      <c r="F57" s="11">
        <f t="shared" si="15"/>
        <v>73</v>
      </c>
      <c r="G57" s="11">
        <f t="shared" si="15"/>
        <v>73</v>
      </c>
      <c r="H57" s="10">
        <f t="shared" si="15"/>
        <v>73</v>
      </c>
    </row>
    <row r="58" spans="2:10">
      <c r="B58" s="33" t="s">
        <v>85</v>
      </c>
      <c r="C58" s="11">
        <f>+$C$12*$E$20</f>
        <v>182.5</v>
      </c>
      <c r="D58" s="11">
        <f t="shared" ref="D58:H58" si="16">+$C$12*$E$20</f>
        <v>182.5</v>
      </c>
      <c r="E58" s="11">
        <f t="shared" si="16"/>
        <v>182.5</v>
      </c>
      <c r="F58" s="11">
        <f t="shared" si="16"/>
        <v>182.5</v>
      </c>
      <c r="G58" s="11">
        <f t="shared" si="16"/>
        <v>182.5</v>
      </c>
      <c r="H58" s="10">
        <f t="shared" si="16"/>
        <v>182.5</v>
      </c>
    </row>
    <row r="59" spans="2:10">
      <c r="B59" s="63" t="s">
        <v>2</v>
      </c>
      <c r="C59" s="23">
        <f t="shared" ref="C59:H59" si="17">$C$53*$C$13/1000000</f>
        <v>374.49</v>
      </c>
      <c r="D59" s="23">
        <f t="shared" si="17"/>
        <v>374.49</v>
      </c>
      <c r="E59" s="23">
        <f t="shared" si="17"/>
        <v>374.49</v>
      </c>
      <c r="F59" s="23">
        <f t="shared" si="17"/>
        <v>374.49</v>
      </c>
      <c r="G59" s="23">
        <f t="shared" si="17"/>
        <v>374.49</v>
      </c>
      <c r="H59" s="22">
        <f t="shared" si="17"/>
        <v>374.49</v>
      </c>
    </row>
    <row r="60" spans="2:10">
      <c r="B60" s="33" t="s">
        <v>73</v>
      </c>
      <c r="C60" s="9">
        <f t="shared" ref="C60:H60" si="18">SUM(C56:C59)</f>
        <v>739.49</v>
      </c>
      <c r="D60" s="9">
        <f t="shared" si="18"/>
        <v>775.99</v>
      </c>
      <c r="E60" s="9">
        <f t="shared" si="18"/>
        <v>812.49</v>
      </c>
      <c r="F60" s="9">
        <f t="shared" si="18"/>
        <v>848.99</v>
      </c>
      <c r="G60" s="9">
        <f t="shared" si="18"/>
        <v>885.49</v>
      </c>
      <c r="H60" s="8">
        <f t="shared" si="18"/>
        <v>921.99</v>
      </c>
    </row>
    <row r="61" spans="2:10">
      <c r="B61" s="33" t="s">
        <v>70</v>
      </c>
      <c r="C61" s="9">
        <f t="shared" ref="C61:H61" si="19">C55-SUM(C56:C59)</f>
        <v>2311.91</v>
      </c>
      <c r="D61" s="9">
        <f t="shared" si="19"/>
        <v>2275.41</v>
      </c>
      <c r="E61" s="9">
        <f t="shared" si="19"/>
        <v>2238.91</v>
      </c>
      <c r="F61" s="9">
        <f t="shared" si="19"/>
        <v>2202.41</v>
      </c>
      <c r="G61" s="9">
        <f t="shared" si="19"/>
        <v>2165.91</v>
      </c>
      <c r="H61" s="8">
        <f t="shared" si="19"/>
        <v>2129.41</v>
      </c>
    </row>
    <row r="62" spans="2:10">
      <c r="B62" s="33" t="s">
        <v>5</v>
      </c>
      <c r="C62" s="11">
        <f t="shared" ref="C62:H62" si="20">(POWER($C$24+1,C41)-1)/(POWER($C$24+1,C41)*$C$24)</f>
        <v>3.4493481162537925</v>
      </c>
      <c r="D62" s="11">
        <f t="shared" si="20"/>
        <v>4.310867775816817</v>
      </c>
      <c r="E62" s="11">
        <f t="shared" si="20"/>
        <v>5.0590832731398638</v>
      </c>
      <c r="F62" s="11">
        <f t="shared" si="20"/>
        <v>5.7088959897972265</v>
      </c>
      <c r="G62" s="11">
        <f t="shared" si="20"/>
        <v>6.2732475278773183</v>
      </c>
      <c r="H62" s="10">
        <f t="shared" si="20"/>
        <v>6.7633774535760498</v>
      </c>
    </row>
    <row r="63" spans="2:10" ht="15.75" thickBot="1">
      <c r="B63" s="32" t="s">
        <v>4</v>
      </c>
      <c r="C63" s="20">
        <f t="shared" ref="C63:H63" si="21">C62*C61</f>
        <v>7974.5824034483048</v>
      </c>
      <c r="D63" s="20">
        <f t="shared" si="21"/>
        <v>9808.9916457713425</v>
      </c>
      <c r="E63" s="20">
        <f t="shared" si="21"/>
        <v>11326.832131065572</v>
      </c>
      <c r="F63" s="20">
        <f t="shared" si="21"/>
        <v>12573.329616889308</v>
      </c>
      <c r="G63" s="20">
        <f t="shared" si="21"/>
        <v>13587.289553104762</v>
      </c>
      <c r="H63" s="19">
        <f t="shared" si="21"/>
        <v>14402.003583419375</v>
      </c>
    </row>
    <row r="64" spans="2:10" ht="29.25" thickBot="1">
      <c r="B64" s="4" t="s">
        <v>74</v>
      </c>
      <c r="C64" s="2">
        <f t="shared" ref="C64:H64" si="22">C63-$C$16</f>
        <v>6974.5824034483048</v>
      </c>
      <c r="D64" s="2">
        <f t="shared" si="22"/>
        <v>8808.9916457713425</v>
      </c>
      <c r="E64" s="2">
        <f t="shared" si="22"/>
        <v>10326.832131065572</v>
      </c>
      <c r="F64" s="2">
        <f t="shared" si="22"/>
        <v>11573.329616889308</v>
      </c>
      <c r="G64" s="2">
        <f t="shared" si="22"/>
        <v>12587.289553104762</v>
      </c>
      <c r="H64" s="1">
        <f t="shared" si="22"/>
        <v>13402.003583419375</v>
      </c>
      <c r="J64" s="44" t="s">
        <v>58</v>
      </c>
    </row>
    <row r="65" spans="2:10" ht="15.75" thickBot="1"/>
    <row r="66" spans="2:10" ht="15.75" thickBot="1">
      <c r="B66" s="18" t="s">
        <v>3</v>
      </c>
      <c r="C66" s="17"/>
      <c r="D66" s="17"/>
      <c r="E66" s="17"/>
      <c r="F66" s="17"/>
      <c r="G66" s="17"/>
      <c r="H66" s="16"/>
    </row>
    <row r="67" spans="2:10" ht="15.75" thickBot="1">
      <c r="B67" s="39" t="s">
        <v>26</v>
      </c>
      <c r="C67" s="38">
        <v>300</v>
      </c>
      <c r="D67" s="38">
        <f>C67+100</f>
        <v>400</v>
      </c>
      <c r="E67" s="38">
        <f>D67+100</f>
        <v>500</v>
      </c>
      <c r="F67" s="38">
        <f>E67+100</f>
        <v>600</v>
      </c>
      <c r="G67" s="38">
        <f>F67+100</f>
        <v>700</v>
      </c>
      <c r="H67" s="37">
        <f>G67+100</f>
        <v>800</v>
      </c>
    </row>
    <row r="68" spans="2:10">
      <c r="B68" s="33" t="s">
        <v>75</v>
      </c>
      <c r="C68" s="9">
        <f t="shared" ref="C68:H68" si="23">$C$53*$C$51/1000000</f>
        <v>3051.4</v>
      </c>
      <c r="D68" s="9">
        <f t="shared" si="23"/>
        <v>3051.4</v>
      </c>
      <c r="E68" s="9">
        <f t="shared" si="23"/>
        <v>3051.4</v>
      </c>
      <c r="F68" s="9">
        <f t="shared" si="23"/>
        <v>3051.4</v>
      </c>
      <c r="G68" s="9">
        <f t="shared" si="23"/>
        <v>3051.4</v>
      </c>
      <c r="H68" s="8">
        <f t="shared" si="23"/>
        <v>3051.4</v>
      </c>
    </row>
    <row r="69" spans="2:10">
      <c r="B69" s="33" t="s">
        <v>76</v>
      </c>
      <c r="C69" s="9">
        <f t="shared" ref="C69:H69" si="24">$E$21*$C$11</f>
        <v>255.5</v>
      </c>
      <c r="D69" s="9">
        <f t="shared" si="24"/>
        <v>255.5</v>
      </c>
      <c r="E69" s="9">
        <f t="shared" si="24"/>
        <v>255.5</v>
      </c>
      <c r="F69" s="9">
        <f t="shared" si="24"/>
        <v>255.5</v>
      </c>
      <c r="G69" s="9">
        <f t="shared" si="24"/>
        <v>255.5</v>
      </c>
      <c r="H69" s="8">
        <f t="shared" si="24"/>
        <v>255.5</v>
      </c>
    </row>
    <row r="70" spans="2:10">
      <c r="B70" s="33" t="s">
        <v>86</v>
      </c>
      <c r="C70" s="9">
        <f>+$C$12*$E$21</f>
        <v>182.5</v>
      </c>
      <c r="D70" s="9">
        <f t="shared" ref="D70:H70" si="25">+$C$12*$E$21</f>
        <v>182.5</v>
      </c>
      <c r="E70" s="9">
        <f t="shared" si="25"/>
        <v>182.5</v>
      </c>
      <c r="F70" s="9">
        <f t="shared" si="25"/>
        <v>182.5</v>
      </c>
      <c r="G70" s="9">
        <f t="shared" si="25"/>
        <v>182.5</v>
      </c>
      <c r="H70" s="8">
        <f t="shared" si="25"/>
        <v>182.5</v>
      </c>
    </row>
    <row r="71" spans="2:10">
      <c r="B71" s="33" t="s">
        <v>87</v>
      </c>
      <c r="C71" s="9">
        <f t="shared" ref="C71:H71" si="26">C59</f>
        <v>374.49</v>
      </c>
      <c r="D71" s="9">
        <f t="shared" si="26"/>
        <v>374.49</v>
      </c>
      <c r="E71" s="9">
        <f t="shared" si="26"/>
        <v>374.49</v>
      </c>
      <c r="F71" s="9">
        <f t="shared" si="26"/>
        <v>374.49</v>
      </c>
      <c r="G71" s="9">
        <f t="shared" si="26"/>
        <v>374.49</v>
      </c>
      <c r="H71" s="8">
        <f t="shared" si="26"/>
        <v>374.49</v>
      </c>
    </row>
    <row r="72" spans="2:10">
      <c r="B72" s="33" t="s">
        <v>77</v>
      </c>
      <c r="C72" s="9">
        <f t="shared" ref="C72:H72" si="27">SUM(C69:C71)</f>
        <v>812.49</v>
      </c>
      <c r="D72" s="9">
        <f t="shared" si="27"/>
        <v>812.49</v>
      </c>
      <c r="E72" s="9">
        <f t="shared" si="27"/>
        <v>812.49</v>
      </c>
      <c r="F72" s="9">
        <f t="shared" si="27"/>
        <v>812.49</v>
      </c>
      <c r="G72" s="9">
        <f t="shared" si="27"/>
        <v>812.49</v>
      </c>
      <c r="H72" s="8">
        <f t="shared" si="27"/>
        <v>812.49</v>
      </c>
    </row>
    <row r="73" spans="2:10">
      <c r="B73" s="33" t="s">
        <v>78</v>
      </c>
      <c r="C73" s="9">
        <f t="shared" ref="C73:H73" si="28">C68-C72</f>
        <v>2238.91</v>
      </c>
      <c r="D73" s="9">
        <f t="shared" si="28"/>
        <v>2238.91</v>
      </c>
      <c r="E73" s="9">
        <f t="shared" si="28"/>
        <v>2238.91</v>
      </c>
      <c r="F73" s="9">
        <f t="shared" si="28"/>
        <v>2238.91</v>
      </c>
      <c r="G73" s="9">
        <f t="shared" si="28"/>
        <v>2238.91</v>
      </c>
      <c r="H73" s="8">
        <f t="shared" si="28"/>
        <v>2238.91</v>
      </c>
    </row>
    <row r="74" spans="2:10">
      <c r="B74" s="33" t="s">
        <v>82</v>
      </c>
      <c r="C74" s="11">
        <f t="shared" ref="C74:H74" si="29">(POWER($C$24+1,C47)-1)/(POWER($C$24+1,C47)*$C$24)</f>
        <v>7.5587341898233724</v>
      </c>
      <c r="D74" s="11">
        <f t="shared" si="29"/>
        <v>7.1890471432214298</v>
      </c>
      <c r="E74" s="11">
        <f t="shared" si="29"/>
        <v>6.7633774535760498</v>
      </c>
      <c r="F74" s="11">
        <f t="shared" si="29"/>
        <v>6.2732475278773183</v>
      </c>
      <c r="G74" s="11">
        <f t="shared" si="29"/>
        <v>5.7088959897972265</v>
      </c>
      <c r="H74" s="10">
        <f t="shared" si="29"/>
        <v>5.0590832731398638</v>
      </c>
    </row>
    <row r="75" spans="2:10">
      <c r="B75" s="33" t="s">
        <v>83</v>
      </c>
      <c r="C75" s="9">
        <f t="shared" ref="C75:H75" si="30">C74*C73-$C$17</f>
        <v>14923.325564937444</v>
      </c>
      <c r="D75" s="9">
        <f t="shared" si="30"/>
        <v>14095.62953942989</v>
      </c>
      <c r="E75" s="9">
        <f t="shared" si="30"/>
        <v>13142.593414585952</v>
      </c>
      <c r="F75" s="9">
        <f t="shared" si="30"/>
        <v>12045.236622639806</v>
      </c>
      <c r="G75" s="9">
        <f t="shared" si="30"/>
        <v>10781.704320516907</v>
      </c>
      <c r="H75" s="8">
        <f t="shared" si="30"/>
        <v>9326.832131065572</v>
      </c>
    </row>
    <row r="76" spans="2:10" ht="15.75" thickBot="1">
      <c r="B76" s="32" t="s">
        <v>84</v>
      </c>
      <c r="C76" s="61">
        <f t="shared" ref="C76:H76" si="31">POWER((1/1.1),C41)</f>
        <v>0.6550651883746208</v>
      </c>
      <c r="D76" s="61">
        <f t="shared" si="31"/>
        <v>0.56891322241831843</v>
      </c>
      <c r="E76" s="61">
        <f t="shared" si="31"/>
        <v>0.49409167268601367</v>
      </c>
      <c r="F76" s="61">
        <f t="shared" si="31"/>
        <v>0.42911040102027748</v>
      </c>
      <c r="G76" s="61">
        <f t="shared" si="31"/>
        <v>0.3726752472122683</v>
      </c>
      <c r="H76" s="62">
        <f t="shared" si="31"/>
        <v>0.32366225464239512</v>
      </c>
    </row>
    <row r="77" spans="2:10" ht="15.75" thickBot="1">
      <c r="B77" s="4" t="s">
        <v>1</v>
      </c>
      <c r="C77" s="2">
        <f t="shared" ref="C77:H77" si="32">C75*C76</f>
        <v>9775.7510723715404</v>
      </c>
      <c r="D77" s="2">
        <f t="shared" si="32"/>
        <v>8019.190023291897</v>
      </c>
      <c r="E77" s="2">
        <f t="shared" si="32"/>
        <v>6493.6459636449608</v>
      </c>
      <c r="F77" s="2">
        <f t="shared" si="32"/>
        <v>5168.7363175251003</v>
      </c>
      <c r="G77" s="2">
        <f t="shared" si="32"/>
        <v>4018.0743230182193</v>
      </c>
      <c r="H77" s="1">
        <f t="shared" si="32"/>
        <v>3018.7435162118177</v>
      </c>
      <c r="J77" s="52"/>
    </row>
    <row r="78" spans="2:10" ht="15.75" thickBot="1"/>
    <row r="79" spans="2:10" ht="15.75" thickBot="1">
      <c r="B79" s="3" t="s">
        <v>0</v>
      </c>
      <c r="C79" s="2">
        <f t="shared" ref="C79:H79" si="33">C77+C64</f>
        <v>16750.333475819847</v>
      </c>
      <c r="D79" s="2">
        <f t="shared" si="33"/>
        <v>16828.18166906324</v>
      </c>
      <c r="E79" s="2">
        <f t="shared" si="33"/>
        <v>16820.478094710532</v>
      </c>
      <c r="F79" s="2">
        <f t="shared" si="33"/>
        <v>16742.065934414408</v>
      </c>
      <c r="G79" s="2">
        <f t="shared" si="33"/>
        <v>16605.363876122981</v>
      </c>
      <c r="H79" s="1">
        <f t="shared" si="33"/>
        <v>16420.747099631193</v>
      </c>
    </row>
    <row r="86" spans="10:10">
      <c r="J86" s="60"/>
    </row>
    <row r="87" spans="10:10">
      <c r="J87" s="60"/>
    </row>
  </sheetData>
  <pageMargins left="0.7" right="0.7" top="0.75" bottom="0.75" header="0.3" footer="0.3"/>
  <pageSetup paperSize="9" orientation="portrait" r:id="rId1"/>
  <drawing r:id="rId2"/>
  <legacyDrawing r:id="rId3"/>
  <oleObjects>
    <oleObject progId="Equation.3" shapeId="1035" r:id="rId4"/>
    <oleObject progId="Equation.3" shapeId="1036" r:id="rId5"/>
  </oleObjects>
</worksheet>
</file>

<file path=xl/worksheets/sheet2.xml><?xml version="1.0" encoding="utf-8"?>
<worksheet xmlns="http://schemas.openxmlformats.org/spreadsheetml/2006/main" xmlns:r="http://schemas.openxmlformats.org/officeDocument/2006/relationships">
  <dimension ref="C3:J27"/>
  <sheetViews>
    <sheetView topLeftCell="A10" workbookViewId="0">
      <selection activeCell="L20" sqref="L20"/>
    </sheetView>
  </sheetViews>
  <sheetFormatPr baseColWidth="10" defaultRowHeight="15"/>
  <cols>
    <col min="3" max="3" width="19.28515625" bestFit="1" customWidth="1"/>
    <col min="4" max="4" width="15.85546875" customWidth="1"/>
  </cols>
  <sheetData>
    <row r="3" spans="3:10">
      <c r="E3">
        <f>Ejercicio!C3*2.7*1000/1000000</f>
        <v>702</v>
      </c>
    </row>
    <row r="7" spans="3:10" ht="15.75" thickBot="1"/>
    <row r="8" spans="3:10" ht="15.75" thickBot="1">
      <c r="C8" s="39" t="s">
        <v>26</v>
      </c>
      <c r="D8" s="45" t="s">
        <v>59</v>
      </c>
      <c r="E8" s="38">
        <v>300</v>
      </c>
      <c r="F8" s="38">
        <f>E8+100</f>
        <v>400</v>
      </c>
      <c r="G8" s="38">
        <f>F8+100</f>
        <v>500</v>
      </c>
      <c r="H8" s="38">
        <f>G8+100</f>
        <v>600</v>
      </c>
      <c r="I8" s="38">
        <f>H8+100</f>
        <v>700</v>
      </c>
      <c r="J8" s="37">
        <f>I8+100</f>
        <v>800</v>
      </c>
    </row>
    <row r="9" spans="3:10">
      <c r="C9" s="33" t="s">
        <v>25</v>
      </c>
      <c r="D9" s="13" t="s">
        <v>60</v>
      </c>
      <c r="E9" s="46">
        <v>60000</v>
      </c>
      <c r="F9" s="46">
        <f>20000</f>
        <v>20000</v>
      </c>
      <c r="G9" s="46">
        <f>20000</f>
        <v>20000</v>
      </c>
      <c r="H9" s="46">
        <f>20000</f>
        <v>20000</v>
      </c>
      <c r="I9" s="46">
        <f>20000</f>
        <v>20000</v>
      </c>
      <c r="J9" s="47">
        <f>20000</f>
        <v>20000</v>
      </c>
    </row>
    <row r="10" spans="3:10">
      <c r="C10" s="33" t="s">
        <v>24</v>
      </c>
      <c r="D10" s="13" t="s">
        <v>60</v>
      </c>
      <c r="E10" s="15">
        <f>E9</f>
        <v>60000</v>
      </c>
      <c r="F10" s="15">
        <f>E10+F9</f>
        <v>80000</v>
      </c>
      <c r="G10" s="15">
        <f>F10+G9</f>
        <v>100000</v>
      </c>
      <c r="H10" s="15">
        <f>G10+H9</f>
        <v>120000</v>
      </c>
      <c r="I10" s="15">
        <f>H10+I9</f>
        <v>140000</v>
      </c>
      <c r="J10" s="14">
        <f>I10+J9</f>
        <v>160000</v>
      </c>
    </row>
    <row r="11" spans="3:10">
      <c r="C11" s="33" t="s">
        <v>23</v>
      </c>
      <c r="D11" s="41" t="s">
        <v>60</v>
      </c>
      <c r="E11" s="15">
        <f>45000</f>
        <v>45000</v>
      </c>
      <c r="F11" s="15">
        <v>35000</v>
      </c>
      <c r="G11" s="15">
        <v>45000</v>
      </c>
      <c r="H11" s="15">
        <v>55000</v>
      </c>
      <c r="I11" s="15">
        <v>65000</v>
      </c>
      <c r="J11" s="14">
        <v>75000</v>
      </c>
    </row>
    <row r="12" spans="3:10">
      <c r="C12" s="33" t="s">
        <v>23</v>
      </c>
      <c r="D12" s="13" t="s">
        <v>60</v>
      </c>
      <c r="E12" s="15">
        <f t="shared" ref="E12:J12" si="0">E11*2</f>
        <v>90000</v>
      </c>
      <c r="F12" s="15">
        <f t="shared" si="0"/>
        <v>70000</v>
      </c>
      <c r="G12" s="15">
        <f t="shared" si="0"/>
        <v>90000</v>
      </c>
      <c r="H12" s="15">
        <f t="shared" si="0"/>
        <v>110000</v>
      </c>
      <c r="I12" s="15">
        <f t="shared" si="0"/>
        <v>130000</v>
      </c>
      <c r="J12" s="14">
        <f t="shared" si="0"/>
        <v>150000</v>
      </c>
    </row>
    <row r="13" spans="3:10">
      <c r="C13" s="33" t="s">
        <v>22</v>
      </c>
      <c r="D13" s="41" t="s">
        <v>60</v>
      </c>
      <c r="E13" s="15">
        <f>E12</f>
        <v>90000</v>
      </c>
      <c r="F13" s="15">
        <f>F12+E13</f>
        <v>160000</v>
      </c>
      <c r="G13" s="15">
        <f>G12+F13</f>
        <v>250000</v>
      </c>
      <c r="H13" s="15">
        <f>H12+G13</f>
        <v>360000</v>
      </c>
      <c r="I13" s="15">
        <f>I12+H13</f>
        <v>490000</v>
      </c>
      <c r="J13" s="14">
        <f>J12+I13</f>
        <v>640000</v>
      </c>
    </row>
    <row r="15" spans="3:10" ht="15.75" thickBot="1"/>
    <row r="16" spans="3:10" ht="15.75" thickBot="1">
      <c r="C16" s="48" t="s">
        <v>26</v>
      </c>
      <c r="D16" s="49" t="s">
        <v>59</v>
      </c>
      <c r="E16" s="38">
        <v>300</v>
      </c>
      <c r="F16" s="38">
        <f>E16+100</f>
        <v>400</v>
      </c>
      <c r="G16" s="38">
        <f>F16+100</f>
        <v>500</v>
      </c>
      <c r="H16" s="38">
        <f>G16+100</f>
        <v>600</v>
      </c>
      <c r="I16" s="38">
        <f>H16+100</f>
        <v>700</v>
      </c>
      <c r="J16" s="37">
        <f>I16+100</f>
        <v>800</v>
      </c>
    </row>
    <row r="17" spans="3:10">
      <c r="C17" s="50" t="s">
        <v>62</v>
      </c>
      <c r="D17" s="15" t="s">
        <v>60</v>
      </c>
      <c r="E17" s="46">
        <v>60000</v>
      </c>
      <c r="F17" s="46">
        <f>20000</f>
        <v>20000</v>
      </c>
      <c r="G17" s="46">
        <f>20000</f>
        <v>20000</v>
      </c>
      <c r="H17" s="46">
        <f>20000</f>
        <v>20000</v>
      </c>
      <c r="I17" s="46">
        <f>20000</f>
        <v>20000</v>
      </c>
      <c r="J17" s="47">
        <f>20000</f>
        <v>20000</v>
      </c>
    </row>
    <row r="18" spans="3:10">
      <c r="C18" s="50" t="s">
        <v>23</v>
      </c>
      <c r="D18" s="51" t="s">
        <v>60</v>
      </c>
      <c r="E18" s="15">
        <f t="shared" ref="E18:J18" si="1">E17*2</f>
        <v>120000</v>
      </c>
      <c r="F18" s="15">
        <f t="shared" si="1"/>
        <v>40000</v>
      </c>
      <c r="G18" s="15">
        <f t="shared" si="1"/>
        <v>40000</v>
      </c>
      <c r="H18" s="15">
        <f t="shared" si="1"/>
        <v>40000</v>
      </c>
      <c r="I18" s="15">
        <f t="shared" si="1"/>
        <v>40000</v>
      </c>
      <c r="J18" s="14">
        <f t="shared" si="1"/>
        <v>40000</v>
      </c>
    </row>
    <row r="19" spans="3:10">
      <c r="C19" s="51" t="s">
        <v>63</v>
      </c>
      <c r="D19" s="15" t="s">
        <v>60</v>
      </c>
      <c r="E19" s="35">
        <f>E17</f>
        <v>60000</v>
      </c>
      <c r="F19" s="35">
        <f t="shared" ref="F19:J20" si="2">E19+F17</f>
        <v>80000</v>
      </c>
      <c r="G19" s="35">
        <f t="shared" si="2"/>
        <v>100000</v>
      </c>
      <c r="H19" s="35">
        <f t="shared" si="2"/>
        <v>120000</v>
      </c>
      <c r="I19" s="35">
        <f t="shared" si="2"/>
        <v>140000</v>
      </c>
      <c r="J19" s="35">
        <f t="shared" si="2"/>
        <v>160000</v>
      </c>
    </row>
    <row r="20" spans="3:10">
      <c r="C20" s="51" t="s">
        <v>64</v>
      </c>
      <c r="D20" s="51" t="s">
        <v>60</v>
      </c>
      <c r="E20" s="35">
        <f>E18</f>
        <v>120000</v>
      </c>
      <c r="F20" s="35">
        <f t="shared" si="2"/>
        <v>160000</v>
      </c>
      <c r="G20" s="35">
        <f t="shared" si="2"/>
        <v>200000</v>
      </c>
      <c r="H20" s="35">
        <f t="shared" si="2"/>
        <v>240000</v>
      </c>
      <c r="I20" s="35">
        <f t="shared" si="2"/>
        <v>280000</v>
      </c>
      <c r="J20" s="35">
        <f t="shared" si="2"/>
        <v>320000</v>
      </c>
    </row>
    <row r="21" spans="3:10">
      <c r="C21" s="51" t="s">
        <v>65</v>
      </c>
      <c r="D21" s="51" t="s">
        <v>61</v>
      </c>
      <c r="E21" s="35">
        <f t="shared" ref="E21:J21" si="3">E19*1000*2.7/1000000</f>
        <v>162</v>
      </c>
      <c r="F21" s="35">
        <f t="shared" si="3"/>
        <v>216</v>
      </c>
      <c r="G21" s="35">
        <f t="shared" si="3"/>
        <v>270</v>
      </c>
      <c r="H21" s="35">
        <f t="shared" si="3"/>
        <v>324</v>
      </c>
      <c r="I21" s="35">
        <f t="shared" si="3"/>
        <v>378</v>
      </c>
      <c r="J21" s="35">
        <f t="shared" si="3"/>
        <v>432</v>
      </c>
    </row>
    <row r="22" spans="3:10">
      <c r="C22" s="51" t="s">
        <v>66</v>
      </c>
      <c r="D22" s="51" t="s">
        <v>61</v>
      </c>
      <c r="E22" s="35">
        <f t="shared" ref="E22:J22" si="4">E20*2.7*1000/1000000</f>
        <v>324</v>
      </c>
      <c r="F22" s="35">
        <f t="shared" si="4"/>
        <v>432</v>
      </c>
      <c r="G22" s="35">
        <f t="shared" si="4"/>
        <v>540</v>
      </c>
      <c r="H22" s="35">
        <f t="shared" si="4"/>
        <v>648</v>
      </c>
      <c r="I22" s="35">
        <f t="shared" si="4"/>
        <v>756</v>
      </c>
      <c r="J22" s="35">
        <f t="shared" si="4"/>
        <v>864</v>
      </c>
    </row>
    <row r="23" spans="3:10">
      <c r="C23" s="51" t="s">
        <v>67</v>
      </c>
      <c r="D23" s="51" t="s">
        <v>61</v>
      </c>
      <c r="E23" s="35">
        <f t="shared" ref="E23:J23" si="5">$E$3-E21</f>
        <v>540</v>
      </c>
      <c r="F23" s="35">
        <f t="shared" si="5"/>
        <v>486</v>
      </c>
      <c r="G23" s="35">
        <f t="shared" si="5"/>
        <v>432</v>
      </c>
      <c r="H23" s="35">
        <f t="shared" si="5"/>
        <v>378</v>
      </c>
      <c r="I23" s="35">
        <f t="shared" si="5"/>
        <v>324</v>
      </c>
      <c r="J23" s="35">
        <f t="shared" si="5"/>
        <v>270</v>
      </c>
    </row>
    <row r="25" spans="3:10">
      <c r="D25" s="51" t="s">
        <v>49</v>
      </c>
      <c r="E25">
        <v>300</v>
      </c>
      <c r="F25">
        <v>400</v>
      </c>
      <c r="G25">
        <v>500</v>
      </c>
      <c r="H25">
        <v>600</v>
      </c>
    </row>
    <row r="26" spans="3:10">
      <c r="C26" s="51" t="s">
        <v>71</v>
      </c>
      <c r="E26">
        <f>E25*200</f>
        <v>60000</v>
      </c>
      <c r="F26">
        <f>F25*200</f>
        <v>80000</v>
      </c>
      <c r="G26">
        <f>G25*200</f>
        <v>100000</v>
      </c>
    </row>
    <row r="27" spans="3:10">
      <c r="C27" s="51" t="s">
        <v>72</v>
      </c>
      <c r="E27">
        <f>E25*E25</f>
        <v>90000</v>
      </c>
      <c r="F27">
        <f>F25*F25</f>
        <v>160000</v>
      </c>
      <c r="G27">
        <f>G25*G25</f>
        <v>250000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</vt:lpstr>
      <vt:lpstr>Hoja1</vt:lpstr>
    </vt:vector>
  </TitlesOfParts>
  <Company>u de chile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Raul Castro</dc:creator>
  <cp:lastModifiedBy>Usuario</cp:lastModifiedBy>
  <dcterms:created xsi:type="dcterms:W3CDTF">2008-12-18T22:21:03Z</dcterms:created>
  <dcterms:modified xsi:type="dcterms:W3CDTF">2011-10-22T01:58:29Z</dcterms:modified>
</cp:coreProperties>
</file>